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defaultThemeVersion="202300"/>
  <mc:AlternateContent xmlns:mc="http://schemas.openxmlformats.org/markup-compatibility/2006">
    <mc:Choice Requires="x15">
      <x15ac:absPath xmlns:x15ac="http://schemas.microsoft.com/office/spreadsheetml/2010/11/ac" url="/Users/sylvina/Desktop/AJJ/Salary Calculator/"/>
    </mc:Choice>
  </mc:AlternateContent>
  <xr:revisionPtr revIDLastSave="0" documentId="13_ncr:1_{7120DFB8-4910-ED48-9061-D862BF23CEBC}" xr6:coauthVersionLast="47" xr6:coauthVersionMax="47" xr10:uidLastSave="{00000000-0000-0000-0000-000000000000}"/>
  <bookViews>
    <workbookView xWindow="28800" yWindow="0" windowWidth="38400" windowHeight="21600" xr2:uid="{2348A4E0-8013-451A-9DFB-4B893F59DBB1}"/>
  </bookViews>
  <sheets>
    <sheet name="LP-02" sheetId="1" r:id="rId1"/>
    <sheet name="LP02 GRID"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3" i="1" l="1"/>
  <c r="H22" i="1"/>
  <c r="D23" i="1"/>
  <c r="B23" i="1" s="1"/>
  <c r="D22" i="1"/>
  <c r="C22" i="1" s="1"/>
  <c r="D21" i="1"/>
  <c r="B21" i="1" s="1"/>
  <c r="D20" i="1"/>
  <c r="B20" i="1" s="1"/>
  <c r="D19" i="1"/>
  <c r="C19" i="1" s="1"/>
  <c r="D18" i="1"/>
  <c r="C18" i="1" s="1"/>
  <c r="A21" i="1"/>
  <c r="H21" i="1" s="1"/>
  <c r="A19" i="1"/>
  <c r="H18" i="1" s="1"/>
  <c r="B24" i="1"/>
  <c r="C23" i="1" l="1"/>
  <c r="I23" i="1" s="1"/>
  <c r="B19" i="1"/>
  <c r="B18" i="1"/>
  <c r="I18" i="1" s="1"/>
  <c r="B22" i="1"/>
  <c r="I22" i="1" s="1"/>
  <c r="C21" i="1"/>
  <c r="C20" i="1"/>
  <c r="H20" i="1"/>
  <c r="H19" i="1"/>
  <c r="I19" i="1" l="1"/>
  <c r="I21" i="1"/>
  <c r="I20" i="1"/>
  <c r="I25" i="1" l="1"/>
</calcChain>
</file>

<file path=xl/sharedStrings.xml><?xml version="1.0" encoding="utf-8"?>
<sst xmlns="http://schemas.openxmlformats.org/spreadsheetml/2006/main" count="33" uniqueCount="33">
  <si>
    <t>LP-02 (échelons 1 à 11)</t>
  </si>
  <si>
    <t>ÉCHELON</t>
  </si>
  <si>
    <t>10 mai 2022 - traitement antérieur</t>
  </si>
  <si>
    <t>10 mai 2022 - rajustement salarial</t>
  </si>
  <si>
    <t>10 mai 2023 - rajustement aux lignes salariales</t>
  </si>
  <si>
    <t>10 mai 2024 - rajustement salarial</t>
  </si>
  <si>
    <t>L’ancienne convention s’arrêtait à l’échelon 8</t>
  </si>
  <si>
    <t>Échelon au 9 mai 2022</t>
  </si>
  <si>
    <t>(échelons 1 à 8)</t>
  </si>
  <si>
    <t>Date d’anniversaire</t>
  </si>
  <si>
    <t>(utiliser une date d’anniversaire entre le 5/09/2021 et le 5/10/2022)</t>
  </si>
  <si>
    <t>Échelon mis à jour au 9 mai 2022 - selon la nouvelle convention</t>
  </si>
  <si>
    <t>(échelons 1 à 11)</t>
  </si>
  <si>
    <t>Traitement antérieur</t>
  </si>
  <si>
    <t>Nouveau traitement</t>
  </si>
  <si>
    <t>Échelon</t>
  </si>
  <si>
    <t>Prime de rendement (%)</t>
  </si>
  <si>
    <t>Jours applicables</t>
  </si>
  <si>
    <t>Traitement rétroactif</t>
  </si>
  <si>
    <t>TRAITEMENT BRUT</t>
  </si>
  <si>
    <t>Hypothèses :</t>
  </si>
  <si>
    <t>Estimation du traitement rétroactif jusqu’au 31 décembre 2024, à supposer que la rémunération de l’employé n’ait fait l’objet d’aucun rajustement après le 3 mai 2024.</t>
  </si>
  <si>
    <t>Si la rémunération a été rajustée après le 3 mai 2024 - Outrepasser la date de fin du dernier jour de la période de paie au cours de laquelle votre taux de rémunération est mis à jour, conformément à la convention collective - Rémunération au rendement reçue sans y avoir droit c. traitement rétroactif dû (soustraire les valeurs dans la colonne F)</t>
  </si>
  <si>
    <t>Le niveau de traitement selon l’ancienne convention s’arrêtait à l’échelon 8, plus la prime de rendement.</t>
  </si>
  <si>
    <t>Il s’agit d’une estimation seulement, calculée à partir d’un nombre limité de facteurs. Les résultats réels pourraient différer considérablement.</t>
  </si>
  <si>
    <t>Prise en compte de toutes les années applicables (personne employée au 9 mai 2022).</t>
  </si>
  <si>
    <t>Instructions :</t>
  </si>
  <si>
    <t>Entrez votre échelon au 9 mai 2022 dans la cellule C10.</t>
  </si>
  <si>
    <t>Entrez votre échelon mis à jour au 9 mai 2022 selon la nouvelle convention collective dans la cellule C12.</t>
  </si>
  <si>
    <t>Entrez une date d’anniversaire entre le 5/9/2021 et le 5/10/2022 dans la cellule 11 - si vous avez atteint le sommet de l’échelle, entrez la date du 31 mars 2022.</t>
  </si>
  <si>
    <t>Entrez le taux de prime de rendement applicable dans les cellules  E18 à E22 (soit 0,00, 4,6 ou 7,0) - que vous soyez admissible à cette rémunération au rendement ou pas.</t>
  </si>
  <si>
    <t xml:space="preserve">*Remarque - il se peut que vous deviez outrepasser la colonne du traitement antérieur pour refléter le taux de rémunération réel que vous avez obtenu, p. ex. si vous êtes monté d’un échelon dans l’ancienne grille salariale, mais n’avez bénéficié d’aucune augmentation de traitement en vertu de la convention collective. </t>
  </si>
  <si>
    <t>La cellule A24 devrait être actualisée en fonction du dernier jour de la période de paie au cours de laquelle votre taux de rémunération a été mis à jour conformément à la convention collective.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</si>
</sst>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_);_(* \(#,##0\);_(* &quot;-&quot;??_);_(@_)"/>
    <numFmt numFmtId="166" formatCode="dd\ mmm\ yy"/>
  </numFmts>
  <fonts count="3" x14ac:knownFonts="1">
    <font>
      <sz val="11"/>
      <color theme="1"/>
      <name val="Aptos Narrow"/>
      <family val="2"/>
      <scheme val="minor"/>
    </font>
    <font>
      <sz val="11"/>
      <color theme="1"/>
      <name val="Aptos Narrow"/>
      <family val="2"/>
      <scheme val="minor"/>
    </font>
    <font>
      <b/>
      <sz val="11"/>
      <color theme="1"/>
      <name val="Aptos Narrow"/>
      <family val="2"/>
      <scheme val="minor"/>
    </font>
  </fonts>
  <fills count="4">
    <fill>
      <patternFill patternType="none"/>
    </fill>
    <fill>
      <patternFill patternType="gray125"/>
    </fill>
    <fill>
      <patternFill patternType="solid">
        <fgColor rgb="FFFFC000"/>
        <bgColor indexed="64"/>
      </patternFill>
    </fill>
    <fill>
      <patternFill patternType="solid">
        <fgColor theme="3" tint="0.749992370372631"/>
        <bgColor indexed="64"/>
      </patternFill>
    </fill>
  </fills>
  <borders count="2">
    <border>
      <left/>
      <right/>
      <top/>
      <bottom/>
      <diagonal/>
    </border>
    <border>
      <left/>
      <right/>
      <top/>
      <bottom style="thin">
        <color indexed="64"/>
      </bottom>
      <diagonal/>
    </border>
  </borders>
  <cellStyleXfs count="2">
    <xf numFmtId="0" fontId="0" fillId="0" borderId="0"/>
    <xf numFmtId="164" fontId="1" fillId="0" borderId="0" applyFont="0" applyFill="0" applyBorder="0" applyAlignment="0" applyProtection="0"/>
  </cellStyleXfs>
  <cellXfs count="17">
    <xf numFmtId="0" fontId="0" fillId="0" borderId="0" xfId="0"/>
    <xf numFmtId="165" fontId="0" fillId="0" borderId="0" xfId="0" applyNumberFormat="1"/>
    <xf numFmtId="164" fontId="0" fillId="0" borderId="0" xfId="0" applyNumberFormat="1"/>
    <xf numFmtId="0" fontId="0" fillId="0" borderId="1" xfId="0" applyBorder="1"/>
    <xf numFmtId="1" fontId="0" fillId="0" borderId="0" xfId="0" applyNumberFormat="1"/>
    <xf numFmtId="14" fontId="0" fillId="0" borderId="0" xfId="0" applyNumberFormat="1"/>
    <xf numFmtId="164" fontId="0" fillId="0" borderId="0" xfId="1" applyFont="1"/>
    <xf numFmtId="1" fontId="0" fillId="2" borderId="0" xfId="1" applyNumberFormat="1" applyFont="1" applyFill="1"/>
    <xf numFmtId="164" fontId="0" fillId="3" borderId="0" xfId="1" applyFont="1" applyFill="1"/>
    <xf numFmtId="164" fontId="0" fillId="2" borderId="0" xfId="0" applyNumberFormat="1" applyFill="1"/>
    <xf numFmtId="14" fontId="0" fillId="2" borderId="0" xfId="0" applyNumberFormat="1" applyFill="1"/>
    <xf numFmtId="0" fontId="2" fillId="0" borderId="0" xfId="0" applyFont="1"/>
    <xf numFmtId="164" fontId="0" fillId="0" borderId="0" xfId="1" applyFont="1" applyFill="1"/>
    <xf numFmtId="1" fontId="2" fillId="0" borderId="0" xfId="0" applyNumberFormat="1" applyFont="1"/>
    <xf numFmtId="165" fontId="0" fillId="2" borderId="0" xfId="0" applyNumberFormat="1" applyFill="1"/>
    <xf numFmtId="166" fontId="0" fillId="0" borderId="0" xfId="0" applyNumberFormat="1"/>
    <xf numFmtId="166" fontId="0" fillId="2" borderId="0" xfId="0" applyNumberFormat="1" applyFill="1"/>
  </cellXfs>
  <cellStyles count="2">
    <cellStyle name="Millier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13</xdr:col>
      <xdr:colOff>103771</xdr:colOff>
      <xdr:row>12</xdr:row>
      <xdr:rowOff>35939</xdr:rowOff>
    </xdr:to>
    <xdr:pic>
      <xdr:nvPicPr>
        <xdr:cNvPr id="4" name="Picture 3">
          <a:extLst>
            <a:ext uri="{FF2B5EF4-FFF2-40B4-BE49-F238E27FC236}">
              <a16:creationId xmlns:a16="http://schemas.microsoft.com/office/drawing/2014/main" id="{5788CD3B-91D9-1CA7-AC57-385AB72B4868}"/>
            </a:ext>
          </a:extLst>
        </xdr:cNvPr>
        <xdr:cNvPicPr>
          <a:picLocks noChangeAspect="1"/>
        </xdr:cNvPicPr>
      </xdr:nvPicPr>
      <xdr:blipFill>
        <a:blip xmlns:r="http://schemas.openxmlformats.org/officeDocument/2006/relationships" r:embed="rId1"/>
        <a:stretch>
          <a:fillRect/>
        </a:stretch>
      </xdr:blipFill>
      <xdr:spPr>
        <a:xfrm>
          <a:off x="0" y="182880"/>
          <a:ext cx="8028571" cy="2047619"/>
        </a:xfrm>
        <a:prstGeom prst="rect">
          <a:avLst/>
        </a:prstGeom>
      </xdr:spPr>
    </xdr:pic>
    <xdr:clientData/>
  </xdr:twoCellAnchor>
  <xdr:twoCellAnchor editAs="oneCell">
    <xdr:from>
      <xdr:col>0</xdr:col>
      <xdr:colOff>0</xdr:colOff>
      <xdr:row>13</xdr:row>
      <xdr:rowOff>0</xdr:rowOff>
    </xdr:from>
    <xdr:to>
      <xdr:col>12</xdr:col>
      <xdr:colOff>446705</xdr:colOff>
      <xdr:row>36</xdr:row>
      <xdr:rowOff>69950</xdr:rowOff>
    </xdr:to>
    <xdr:pic>
      <xdr:nvPicPr>
        <xdr:cNvPr id="5" name="Picture 4">
          <a:extLst>
            <a:ext uri="{FF2B5EF4-FFF2-40B4-BE49-F238E27FC236}">
              <a16:creationId xmlns:a16="http://schemas.microsoft.com/office/drawing/2014/main" id="{16A568CE-F413-AF59-1675-1A62A82ADF87}"/>
            </a:ext>
          </a:extLst>
        </xdr:cNvPr>
        <xdr:cNvPicPr>
          <a:picLocks noChangeAspect="1"/>
        </xdr:cNvPicPr>
      </xdr:nvPicPr>
      <xdr:blipFill>
        <a:blip xmlns:r="http://schemas.openxmlformats.org/officeDocument/2006/relationships" r:embed="rId2"/>
        <a:stretch>
          <a:fillRect/>
        </a:stretch>
      </xdr:blipFill>
      <xdr:spPr>
        <a:xfrm>
          <a:off x="0" y="2377440"/>
          <a:ext cx="7761905" cy="427619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customProperty" Target="../customProperty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65115-1C73-4405-B6FA-15E91EE1F5AD}">
  <dimension ref="A2:N49"/>
  <sheetViews>
    <sheetView tabSelected="1" workbookViewId="0">
      <selection activeCell="N16" sqref="N16"/>
    </sheetView>
  </sheetViews>
  <sheetFormatPr baseColWidth="10" defaultColWidth="8.83203125" defaultRowHeight="15" x14ac:dyDescent="0.2"/>
  <cols>
    <col min="1" max="1" width="24" customWidth="1"/>
    <col min="2" max="2" width="20.33203125" customWidth="1"/>
    <col min="3" max="3" width="13.6640625" bestFit="1" customWidth="1"/>
    <col min="4" max="4" width="11.1640625" bestFit="1" customWidth="1"/>
    <col min="5" max="5" width="20.83203125" customWidth="1"/>
    <col min="6" max="10" width="11.1640625" bestFit="1" customWidth="1"/>
    <col min="11" max="13" width="11.5" bestFit="1" customWidth="1"/>
  </cols>
  <sheetData>
    <row r="2" spans="1:14" x14ac:dyDescent="0.2">
      <c r="A2" s="11" t="s">
        <v>0</v>
      </c>
    </row>
    <row r="3" spans="1:14" x14ac:dyDescent="0.2">
      <c r="B3" s="11" t="s">
        <v>1</v>
      </c>
      <c r="C3" s="13">
        <v>1</v>
      </c>
      <c r="D3" s="13">
        <v>2</v>
      </c>
      <c r="E3" s="13">
        <v>3</v>
      </c>
      <c r="F3" s="13">
        <v>4</v>
      </c>
      <c r="G3" s="13">
        <v>5</v>
      </c>
      <c r="H3" s="13">
        <v>6</v>
      </c>
      <c r="I3" s="13">
        <v>7</v>
      </c>
      <c r="J3" s="13">
        <v>8</v>
      </c>
      <c r="K3" s="13">
        <v>9</v>
      </c>
      <c r="L3" s="13">
        <v>10</v>
      </c>
      <c r="M3" s="13">
        <v>11</v>
      </c>
    </row>
    <row r="4" spans="1:14" x14ac:dyDescent="0.2">
      <c r="A4" t="s">
        <v>2</v>
      </c>
      <c r="C4" s="6">
        <v>114884</v>
      </c>
      <c r="D4" s="6">
        <v>120283</v>
      </c>
      <c r="E4" s="6">
        <v>125936</v>
      </c>
      <c r="F4" s="6">
        <v>131854</v>
      </c>
      <c r="G4" s="6">
        <v>138053</v>
      </c>
      <c r="H4" s="6">
        <v>144541</v>
      </c>
      <c r="I4" s="6">
        <v>151333</v>
      </c>
      <c r="J4" s="6">
        <v>158449</v>
      </c>
      <c r="K4" s="8">
        <v>166405</v>
      </c>
      <c r="L4" s="8">
        <v>174224</v>
      </c>
      <c r="M4" s="8">
        <v>182413</v>
      </c>
      <c r="N4" t="s">
        <v>6</v>
      </c>
    </row>
    <row r="5" spans="1:14" x14ac:dyDescent="0.2">
      <c r="A5" t="s">
        <v>3</v>
      </c>
      <c r="C5" s="6">
        <v>120761</v>
      </c>
      <c r="D5" s="6">
        <v>126436</v>
      </c>
      <c r="E5" s="6">
        <v>132377</v>
      </c>
      <c r="F5" s="6">
        <v>138601</v>
      </c>
      <c r="G5" s="6">
        <v>145115</v>
      </c>
      <c r="H5" s="6">
        <v>151934</v>
      </c>
      <c r="I5" s="6">
        <v>159076</v>
      </c>
      <c r="J5" s="6">
        <v>166552</v>
      </c>
      <c r="K5" s="8">
        <v>174382</v>
      </c>
      <c r="L5" s="8">
        <v>182576</v>
      </c>
      <c r="M5" s="8">
        <v>191157</v>
      </c>
    </row>
    <row r="6" spans="1:14" x14ac:dyDescent="0.2">
      <c r="A6" t="s">
        <v>4</v>
      </c>
      <c r="C6" s="6">
        <v>125006</v>
      </c>
      <c r="D6" s="6">
        <v>130880</v>
      </c>
      <c r="E6" s="6">
        <v>137030</v>
      </c>
      <c r="F6" s="6">
        <v>143473</v>
      </c>
      <c r="G6" s="6">
        <v>150215</v>
      </c>
      <c r="H6" s="6">
        <v>157274</v>
      </c>
      <c r="I6" s="6">
        <v>164667</v>
      </c>
      <c r="J6" s="6">
        <v>172407</v>
      </c>
      <c r="K6" s="8">
        <v>180511</v>
      </c>
      <c r="L6" s="8">
        <v>188993</v>
      </c>
      <c r="M6" s="8">
        <v>197876</v>
      </c>
    </row>
    <row r="7" spans="1:14" x14ac:dyDescent="0.2">
      <c r="A7" t="s">
        <v>5</v>
      </c>
      <c r="C7" s="6">
        <v>127825</v>
      </c>
      <c r="D7" s="6">
        <v>133832</v>
      </c>
      <c r="E7" s="6">
        <v>140120</v>
      </c>
      <c r="F7" s="6">
        <v>146708</v>
      </c>
      <c r="G7" s="6">
        <v>153602</v>
      </c>
      <c r="H7" s="6">
        <v>160820</v>
      </c>
      <c r="I7" s="6">
        <v>168380</v>
      </c>
      <c r="J7" s="6">
        <v>176295</v>
      </c>
      <c r="K7" s="8">
        <v>184581</v>
      </c>
      <c r="L7" s="8">
        <v>193255</v>
      </c>
      <c r="M7" s="8">
        <v>202339</v>
      </c>
    </row>
    <row r="10" spans="1:14" x14ac:dyDescent="0.2">
      <c r="A10" t="s">
        <v>7</v>
      </c>
      <c r="C10" s="7">
        <v>8</v>
      </c>
      <c r="D10" t="s">
        <v>8</v>
      </c>
    </row>
    <row r="11" spans="1:14" x14ac:dyDescent="0.2">
      <c r="A11" t="s">
        <v>9</v>
      </c>
      <c r="C11" s="10">
        <v>44651</v>
      </c>
      <c r="D11" t="s">
        <v>10</v>
      </c>
      <c r="K11" s="2"/>
    </row>
    <row r="12" spans="1:14" x14ac:dyDescent="0.2">
      <c r="A12" t="s">
        <v>11</v>
      </c>
      <c r="C12" s="14">
        <v>11</v>
      </c>
      <c r="D12" t="s">
        <v>12</v>
      </c>
    </row>
    <row r="15" spans="1:14" x14ac:dyDescent="0.2">
      <c r="F15" s="2"/>
    </row>
    <row r="17" spans="1:12" x14ac:dyDescent="0.2">
      <c r="B17" s="11" t="s">
        <v>13</v>
      </c>
      <c r="C17" s="11" t="s">
        <v>14</v>
      </c>
      <c r="D17" s="11" t="s">
        <v>15</v>
      </c>
      <c r="E17" s="11" t="s">
        <v>16</v>
      </c>
      <c r="F17" s="11"/>
      <c r="G17" s="11"/>
      <c r="H17" s="11" t="s">
        <v>17</v>
      </c>
      <c r="I17" s="11" t="s">
        <v>18</v>
      </c>
      <c r="J17" s="11"/>
    </row>
    <row r="18" spans="1:12" x14ac:dyDescent="0.2">
      <c r="A18" s="15">
        <v>44691</v>
      </c>
      <c r="B18" s="12">
        <f t="shared" ref="B18:B23" si="0">IF(D18&lt;8,(_xlfn.XLOOKUP(D18,$C$3:$M$3,$C$4:$M$4)),($J$4*(1+(E18/100))))</f>
        <v>158449</v>
      </c>
      <c r="C18" s="1">
        <f>IF(D18&lt;11,(_xlfn.XLOOKUP(D18,$C$3:$M$3,$C$5:$M$5)),($M$5*(1+(E18/100))))</f>
        <v>191157</v>
      </c>
      <c r="D18" s="1">
        <f>C12</f>
        <v>11</v>
      </c>
      <c r="E18" s="9">
        <v>0</v>
      </c>
      <c r="F18" s="1"/>
      <c r="H18" s="4">
        <f>A19-A18</f>
        <v>325</v>
      </c>
      <c r="I18" s="2">
        <f t="shared" ref="I18:I23" si="1">(C18-B18)/365*H18</f>
        <v>29123.561643835619</v>
      </c>
      <c r="J18" s="2"/>
      <c r="L18" s="2"/>
    </row>
    <row r="19" spans="1:12" x14ac:dyDescent="0.2">
      <c r="A19" s="15">
        <f>C11+365</f>
        <v>45016</v>
      </c>
      <c r="B19" s="12">
        <f t="shared" si="0"/>
        <v>158449</v>
      </c>
      <c r="C19" s="1">
        <f t="shared" ref="C19" si="2">IF(D19&lt;11,(_xlfn.XLOOKUP(D19,$C$3:$M$3,$C$5:$M$5)),($M$5*(1+(E19/100))))</f>
        <v>191157</v>
      </c>
      <c r="D19" s="1">
        <f>C12+1</f>
        <v>12</v>
      </c>
      <c r="E19" s="9">
        <v>0</v>
      </c>
      <c r="F19" s="1"/>
      <c r="H19" s="4">
        <f t="shared" ref="H19:H21" si="3">A20-A19</f>
        <v>40</v>
      </c>
      <c r="I19" s="2">
        <f t="shared" si="1"/>
        <v>3584.4383561643835</v>
      </c>
      <c r="J19" s="2"/>
      <c r="L19" s="2"/>
    </row>
    <row r="20" spans="1:12" x14ac:dyDescent="0.2">
      <c r="A20" s="15">
        <v>45056</v>
      </c>
      <c r="B20" s="12">
        <f t="shared" si="0"/>
        <v>158449</v>
      </c>
      <c r="C20" s="1">
        <f>IF(D20&lt;11,(_xlfn.XLOOKUP(D20,$C$3:$M$3,$C$6:$M$6)),($M$6*(1+(E20/100))))</f>
        <v>197876</v>
      </c>
      <c r="D20" s="1">
        <f>C12+1</f>
        <v>12</v>
      </c>
      <c r="E20" s="9">
        <v>0</v>
      </c>
      <c r="F20" s="1"/>
      <c r="H20" s="4">
        <f t="shared" si="3"/>
        <v>325</v>
      </c>
      <c r="I20" s="2">
        <f t="shared" si="1"/>
        <v>35106.232876712333</v>
      </c>
      <c r="J20" s="2"/>
      <c r="L20" s="2"/>
    </row>
    <row r="21" spans="1:12" x14ac:dyDescent="0.2">
      <c r="A21" s="15">
        <f>C11+365*2</f>
        <v>45381</v>
      </c>
      <c r="B21" s="12">
        <f t="shared" si="0"/>
        <v>165737.65400000001</v>
      </c>
      <c r="C21" s="1">
        <f>IF(D21&lt;11,(_xlfn.XLOOKUP(D21,$C$3:$M$3,$C$6:$M$6)),($M$6*(1+(E21/100))))</f>
        <v>206978.296</v>
      </c>
      <c r="D21" s="1">
        <f>C12+2</f>
        <v>13</v>
      </c>
      <c r="E21" s="9">
        <v>4.5999999999999996</v>
      </c>
      <c r="F21" s="1"/>
      <c r="G21" s="2"/>
      <c r="H21" s="4">
        <f t="shared" si="3"/>
        <v>41</v>
      </c>
      <c r="I21" s="2">
        <f t="shared" si="1"/>
        <v>4632.5104712328757</v>
      </c>
      <c r="J21" s="2"/>
      <c r="L21" s="2"/>
    </row>
    <row r="22" spans="1:12" x14ac:dyDescent="0.2">
      <c r="A22" s="15">
        <v>45422</v>
      </c>
      <c r="B22" s="12">
        <f t="shared" si="0"/>
        <v>158449</v>
      </c>
      <c r="C22" s="1">
        <f>IF(D22&lt;11,(_xlfn.XLOOKUP(D22,$C$3:$M$3,$C$7:$M$7)),($M$7*(1+(E22/100))))</f>
        <v>202339</v>
      </c>
      <c r="D22" s="1">
        <f>C12+2</f>
        <v>13</v>
      </c>
      <c r="E22" s="9">
        <v>0</v>
      </c>
      <c r="F22" s="1"/>
      <c r="H22" s="4">
        <f>A23-A22</f>
        <v>365</v>
      </c>
      <c r="I22" s="2">
        <f t="shared" si="1"/>
        <v>43890</v>
      </c>
      <c r="J22" s="2"/>
      <c r="L22" s="2"/>
    </row>
    <row r="23" spans="1:12" x14ac:dyDescent="0.2">
      <c r="A23" s="15">
        <v>45787</v>
      </c>
      <c r="B23" s="12">
        <f t="shared" si="0"/>
        <v>158449</v>
      </c>
      <c r="C23" s="1">
        <f>IF(D23&lt;11,(_xlfn.XLOOKUP(D23,$C$3:$M$3,$C$7:$M$7)),($M$7*(1+(E23/100))))</f>
        <v>202339</v>
      </c>
      <c r="D23" s="1">
        <f>C12+3</f>
        <v>14</v>
      </c>
      <c r="E23" s="9">
        <v>0</v>
      </c>
      <c r="F23" s="1"/>
      <c r="H23" s="4">
        <f>A24-A23</f>
        <v>52</v>
      </c>
      <c r="I23" s="2">
        <f t="shared" si="1"/>
        <v>6252.821917808219</v>
      </c>
      <c r="J23" s="2"/>
      <c r="L23" s="2"/>
    </row>
    <row r="24" spans="1:12" x14ac:dyDescent="0.2">
      <c r="A24" s="16">
        <v>45839</v>
      </c>
      <c r="B24" s="1">
        <f t="shared" ref="B24" si="4">J8*1.046</f>
        <v>0</v>
      </c>
      <c r="I24" s="3"/>
    </row>
    <row r="25" spans="1:12" x14ac:dyDescent="0.2">
      <c r="I25" s="2">
        <f>SUM(I18:I24)</f>
        <v>122589.56526575344</v>
      </c>
      <c r="J25" s="11" t="s">
        <v>19</v>
      </c>
    </row>
    <row r="27" spans="1:12" x14ac:dyDescent="0.2">
      <c r="A27" s="11" t="s">
        <v>20</v>
      </c>
      <c r="B27" t="s">
        <v>21</v>
      </c>
    </row>
    <row r="28" spans="1:12" x14ac:dyDescent="0.2">
      <c r="A28" s="11"/>
      <c r="B28" t="s">
        <v>22</v>
      </c>
    </row>
    <row r="29" spans="1:12" x14ac:dyDescent="0.2">
      <c r="A29" s="11"/>
      <c r="B29" t="s">
        <v>23</v>
      </c>
    </row>
    <row r="30" spans="1:12" x14ac:dyDescent="0.2">
      <c r="A30" s="11"/>
      <c r="B30" t="s">
        <v>24</v>
      </c>
    </row>
    <row r="31" spans="1:12" x14ac:dyDescent="0.2">
      <c r="B31" t="s">
        <v>25</v>
      </c>
    </row>
    <row r="33" spans="1:13" x14ac:dyDescent="0.2">
      <c r="A33" s="11" t="s">
        <v>26</v>
      </c>
      <c r="B33" s="5"/>
    </row>
    <row r="34" spans="1:13" x14ac:dyDescent="0.2">
      <c r="B34" t="s">
        <v>27</v>
      </c>
    </row>
    <row r="35" spans="1:13" x14ac:dyDescent="0.2">
      <c r="B35" t="s">
        <v>28</v>
      </c>
    </row>
    <row r="36" spans="1:13" x14ac:dyDescent="0.2">
      <c r="B36" t="s">
        <v>29</v>
      </c>
    </row>
    <row r="37" spans="1:13" x14ac:dyDescent="0.2">
      <c r="B37" t="s">
        <v>30</v>
      </c>
      <c r="C37" s="2"/>
      <c r="D37" s="2"/>
      <c r="E37" s="2"/>
      <c r="F37" s="2"/>
      <c r="G37" s="2"/>
      <c r="H37" s="2"/>
      <c r="I37" s="2"/>
      <c r="J37" s="2"/>
      <c r="K37" s="2"/>
      <c r="L37" s="2"/>
      <c r="M37" s="2"/>
    </row>
    <row r="38" spans="1:13" x14ac:dyDescent="0.2">
      <c r="B38" t="s">
        <v>32</v>
      </c>
    </row>
    <row r="39" spans="1:13" x14ac:dyDescent="0.2">
      <c r="B39" t="s">
        <v>31</v>
      </c>
    </row>
    <row r="43" spans="1:13" x14ac:dyDescent="0.2">
      <c r="C43" s="1"/>
    </row>
    <row r="46" spans="1:13" x14ac:dyDescent="0.2">
      <c r="C46" s="1"/>
    </row>
    <row r="49" spans="3:3" x14ac:dyDescent="0.2">
      <c r="C49" s="1"/>
    </row>
  </sheetData>
  <dataValidations count="1">
    <dataValidation type="decimal" allowBlank="1" showInputMessage="1" showErrorMessage="1" sqref="E18:E23" xr:uid="{68787077-DD1F-4839-A7EE-F67187A24A8E}">
      <formula1>0</formula1>
      <formula2>7</formula2>
    </dataValidation>
  </dataValidations>
  <pageMargins left="0.7" right="0.7" top="0.75" bottom="0.75" header="0.3" footer="0.3"/>
  <pageSetup orientation="portrait" r:id="rId1"/>
  <customProperties>
    <customPr name="OrphanNamesChecke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4435A-6DEA-470F-A3D4-2AEF656C84C3}">
  <dimension ref="A1"/>
  <sheetViews>
    <sheetView topLeftCell="A7" workbookViewId="0">
      <selection activeCell="N18" sqref="N18"/>
    </sheetView>
  </sheetViews>
  <sheetFormatPr baseColWidth="10" defaultColWidth="8.83203125" defaultRowHeight="15" x14ac:dyDescent="0.2"/>
  <sheetData/>
  <pageMargins left="0.7" right="0.7" top="0.75" bottom="0.75" header="0.3" footer="0.3"/>
  <customProperties>
    <customPr name="OrphanNamesChecked" r:id="rId1"/>
  </customProperties>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2</vt:i4>
      </vt:variant>
    </vt:vector>
  </HeadingPairs>
  <TitlesOfParts>
    <vt:vector size="2" baseType="lpstr">
      <vt:lpstr>LP-02</vt:lpstr>
      <vt:lpstr>LP02 GRID</vt:lpstr>
    </vt:vector>
  </TitlesOfParts>
  <Company>Baker Tilly Ottawa LLP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Jordan Malone</dc:creator>
  <cp:lastModifiedBy>Sylvie T.</cp:lastModifiedBy>
  <cp:lastPrinted>2024-11-27T15:58:26Z</cp:lastPrinted>
  <dcterms:created xsi:type="dcterms:W3CDTF">2024-11-07T18:39:12Z</dcterms:created>
  <dcterms:modified xsi:type="dcterms:W3CDTF">2025-01-16T15:28:48Z</dcterms:modified>
</cp:coreProperties>
</file>